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logs 18 12 10\Everyday Energy\"/>
    </mc:Choice>
  </mc:AlternateContent>
  <xr:revisionPtr revIDLastSave="0" documentId="13_ncr:40009_{1832360F-13E5-4379-8D9D-19CADA2FB3E5}" xr6:coauthVersionLast="40" xr6:coauthVersionMax="40" xr10:uidLastSave="{00000000-0000-0000-0000-000000000000}"/>
  <bookViews>
    <workbookView xWindow="0" yWindow="0" windowWidth="20490" windowHeight="7545"/>
  </bookViews>
  <sheets>
    <sheet name="Calcs" sheetId="1" r:id="rId1"/>
  </sheets>
  <calcPr calcId="181029" fullCalcOnLoad="1"/>
</workbook>
</file>

<file path=xl/calcChain.xml><?xml version="1.0" encoding="utf-8"?>
<calcChain xmlns="http://schemas.openxmlformats.org/spreadsheetml/2006/main">
  <c r="G142" i="1" l="1"/>
  <c r="C166" i="1"/>
  <c r="C165" i="1"/>
  <c r="C167" i="1" s="1"/>
  <c r="C157" i="1"/>
  <c r="C160" i="1"/>
  <c r="C153" i="1"/>
  <c r="D114" i="1"/>
  <c r="G126" i="1"/>
  <c r="F126" i="1"/>
  <c r="D126" i="1"/>
  <c r="E126" i="1"/>
  <c r="B120" i="1"/>
  <c r="B119" i="1"/>
  <c r="D35" i="1"/>
  <c r="D36" i="1" s="1"/>
  <c r="C76" i="1" s="1"/>
  <c r="B22" i="1"/>
  <c r="B24" i="1"/>
  <c r="B19" i="1"/>
  <c r="C93" i="1"/>
  <c r="C92" i="1"/>
  <c r="B63" i="1"/>
  <c r="B66" i="1" s="1"/>
  <c r="C168" i="1" l="1"/>
  <c r="D130" i="1"/>
  <c r="D135" i="1" s="1"/>
  <c r="E131" i="1"/>
  <c r="E136" i="1" s="1"/>
  <c r="F131" i="1"/>
  <c r="F136" i="1" s="1"/>
  <c r="F127" i="1"/>
  <c r="F132" i="1" s="1"/>
  <c r="G128" i="1"/>
  <c r="G133" i="1" s="1"/>
  <c r="E130" i="1"/>
  <c r="E135" i="1" s="1"/>
  <c r="F130" i="1"/>
  <c r="F135" i="1" s="1"/>
  <c r="F140" i="1" s="1"/>
  <c r="G131" i="1"/>
  <c r="G136" i="1" s="1"/>
  <c r="G127" i="1"/>
  <c r="G132" i="1" s="1"/>
  <c r="G137" i="1" s="1"/>
  <c r="C101" i="1"/>
  <c r="C102" i="1" s="1"/>
  <c r="C103" i="1" s="1"/>
  <c r="C105" i="1" s="1"/>
  <c r="C107" i="1" s="1"/>
  <c r="D129" i="1"/>
  <c r="D134" i="1" s="1"/>
  <c r="E129" i="1"/>
  <c r="E134" i="1" s="1"/>
  <c r="F129" i="1"/>
  <c r="G130" i="1"/>
  <c r="G135" i="1" s="1"/>
  <c r="E127" i="1"/>
  <c r="E132" i="1" s="1"/>
  <c r="E128" i="1"/>
  <c r="E133" i="1" s="1"/>
  <c r="F128" i="1"/>
  <c r="F133" i="1" s="1"/>
  <c r="G129" i="1"/>
  <c r="G134" i="1" s="1"/>
  <c r="G139" i="1" s="1"/>
  <c r="F134" i="1"/>
  <c r="D127" i="1"/>
  <c r="D132" i="1" s="1"/>
  <c r="D128" i="1"/>
  <c r="D133" i="1" s="1"/>
  <c r="D131" i="1"/>
  <c r="D136" i="1" s="1"/>
  <c r="B38" i="1"/>
  <c r="B39" i="1" s="1"/>
  <c r="B40" i="1" s="1"/>
  <c r="B25" i="1"/>
  <c r="B27" i="1" s="1"/>
  <c r="B28" i="1" s="1"/>
  <c r="B47" i="1"/>
  <c r="B51" i="1" s="1"/>
  <c r="C159" i="1" s="1"/>
  <c r="C161" i="1" s="1"/>
  <c r="C162" i="1" s="1"/>
  <c r="C163" i="1" s="1"/>
  <c r="E140" i="1" l="1"/>
  <c r="G140" i="1"/>
  <c r="E138" i="1"/>
  <c r="D138" i="1"/>
  <c r="F138" i="1"/>
  <c r="D137" i="1"/>
  <c r="E139" i="1"/>
  <c r="F139" i="1"/>
  <c r="E137" i="1"/>
  <c r="F137" i="1"/>
  <c r="D139" i="1"/>
  <c r="D140" i="1"/>
  <c r="G138" i="1"/>
  <c r="G141" i="1" s="1"/>
  <c r="B54" i="1"/>
  <c r="B29" i="1"/>
  <c r="D141" i="1" l="1"/>
  <c r="D142" i="1" s="1"/>
  <c r="E141" i="1"/>
  <c r="E142" i="1" s="1"/>
  <c r="F141" i="1"/>
  <c r="F142" i="1" s="1"/>
  <c r="B57" i="1"/>
  <c r="C78" i="1" s="1"/>
  <c r="C83" i="1" l="1"/>
  <c r="D87" i="1" s="1"/>
  <c r="D89" i="1" s="1"/>
  <c r="B60" i="1"/>
  <c r="B67" i="1" s="1"/>
  <c r="B68" i="1" s="1"/>
  <c r="B69" i="1" s="1"/>
  <c r="C94" i="1"/>
</calcChain>
</file>

<file path=xl/sharedStrings.xml><?xml version="1.0" encoding="utf-8"?>
<sst xmlns="http://schemas.openxmlformats.org/spreadsheetml/2006/main" count="255" uniqueCount="174">
  <si>
    <t>Ra</t>
  </si>
  <si>
    <t>Nu</t>
  </si>
  <si>
    <t>k</t>
  </si>
  <si>
    <t>W/m*K</t>
  </si>
  <si>
    <t>Lc</t>
  </si>
  <si>
    <t>m</t>
  </si>
  <si>
    <t>h</t>
  </si>
  <si>
    <t>W/m^2*K</t>
  </si>
  <si>
    <t>A</t>
  </si>
  <si>
    <t>m^2</t>
  </si>
  <si>
    <t>DeltaT</t>
  </si>
  <si>
    <t>K</t>
  </si>
  <si>
    <t>W</t>
  </si>
  <si>
    <t>J</t>
  </si>
  <si>
    <t>t</t>
  </si>
  <si>
    <t>s</t>
  </si>
  <si>
    <t>seconds to get to room temp</t>
  </si>
  <si>
    <t>minutes</t>
  </si>
  <si>
    <t>kg</t>
  </si>
  <si>
    <t>cp</t>
  </si>
  <si>
    <t>J/kg*K</t>
  </si>
  <si>
    <t>Can we treat the gallon of milk as a lumped system?</t>
  </si>
  <si>
    <t>Calculate the Biot number</t>
  </si>
  <si>
    <t>Calculate D to use for spherical approximation</t>
  </si>
  <si>
    <t>V</t>
  </si>
  <si>
    <t>liters</t>
  </si>
  <si>
    <t>m^3</t>
  </si>
  <si>
    <t>r</t>
  </si>
  <si>
    <t>D</t>
  </si>
  <si>
    <t>Bi</t>
  </si>
  <si>
    <t>dimensionless</t>
  </si>
  <si>
    <t>Biot number is not much greater than 0.1</t>
  </si>
  <si>
    <t>Thus, lumped system analysis will be close to the answer</t>
  </si>
  <si>
    <t>Start by calculating lumped system analysis, then use transient heat conduction methods</t>
  </si>
  <si>
    <t>Q_rate</t>
  </si>
  <si>
    <t>Now use Figure 4-15(c) on page 232 (Grober chart) to come up with heat added in 15 minutes</t>
  </si>
  <si>
    <t>Q_15min</t>
  </si>
  <si>
    <t>Check the fraction of the total heat added at this point</t>
  </si>
  <si>
    <t>Q/Qmax</t>
  </si>
  <si>
    <t>Calculate the x-axis value for the figure</t>
  </si>
  <si>
    <t>k_milk</t>
  </si>
  <si>
    <t>alpha</t>
  </si>
  <si>
    <t>m^2/s</t>
  </si>
  <si>
    <t>x-axis</t>
  </si>
  <si>
    <t>There are four heat transfer effects to consider for heat transfer to the gallon of milk:</t>
  </si>
  <si>
    <t>Convection to surrounding air</t>
  </si>
  <si>
    <t>Conduction to the surface it is sitting on</t>
  </si>
  <si>
    <t>Condensation on the milk container surface</t>
  </si>
  <si>
    <t>Radiation</t>
  </si>
  <si>
    <t>We will ignore radiation, which I know is small when the temperature differences are relatively small</t>
  </si>
  <si>
    <t>First, consider convection to surrounding air</t>
  </si>
  <si>
    <t>We need to calculate the Rayleigh and Nusselt numbers, using the Prandtl number</t>
  </si>
  <si>
    <t>The Rayleigh number is the product of the Grashof and Prandtl numbers</t>
  </si>
  <si>
    <t>g</t>
  </si>
  <si>
    <t>m/s^2</t>
  </si>
  <si>
    <t>Beta</t>
  </si>
  <si>
    <t>K^-1</t>
  </si>
  <si>
    <t>Characteristic length: height of "vertical plate"</t>
  </si>
  <si>
    <t>nu</t>
  </si>
  <si>
    <t>Kinematic viscosity</t>
  </si>
  <si>
    <t>Pr</t>
  </si>
  <si>
    <t>Difference in temp between milk and atmosphere</t>
  </si>
  <si>
    <t>T_milk</t>
  </si>
  <si>
    <t>T_atmosphere</t>
  </si>
  <si>
    <t>Gr</t>
  </si>
  <si>
    <t>Rayleigh number</t>
  </si>
  <si>
    <t>Grashof number</t>
  </si>
  <si>
    <t>Nusselt number; complicated formula for vertical plate</t>
  </si>
  <si>
    <t>Nusselt number; using alternate equation for Ra&lt;10^9</t>
  </si>
  <si>
    <t>Now, we will calculate Nusselt number using sphere geometry to compare</t>
  </si>
  <si>
    <t>Calculate Ra using D as characteristic length</t>
  </si>
  <si>
    <t>Prandtl number for air at 20 deg C: looked up in table</t>
  </si>
  <si>
    <t>This Nusselt number is pretty close to using the vertical plate approximation</t>
  </si>
  <si>
    <t>Now calculate the heat transfer coefficient, h, using the Nusselt number</t>
  </si>
  <si>
    <t>Calculate the area of the milk container</t>
  </si>
  <si>
    <t>A sphere would be the minimum area</t>
  </si>
  <si>
    <t>A_sphere</t>
  </si>
  <si>
    <t>Actual area of milk container is maybe 25% greater than this</t>
  </si>
  <si>
    <t>A_container</t>
  </si>
  <si>
    <t>Use average Nusselt number to calculate h</t>
  </si>
  <si>
    <t>Now calculate h; use D for L_c</t>
  </si>
  <si>
    <t>Now calculate heat transfer rate</t>
  </si>
  <si>
    <t>Now calculate the total heat required to bring the milk up to room temperature</t>
  </si>
  <si>
    <t>hours</t>
  </si>
  <si>
    <t>Now use an alternate method for calculating transient heat conduction</t>
  </si>
  <si>
    <t>Characteristic length is D divided by 6</t>
  </si>
  <si>
    <t>Biot number</t>
  </si>
  <si>
    <t>Answer should be about Q_rate watts for 15 minutes, which is</t>
  </si>
  <si>
    <t>Only about 4%. That is pretty insignificant. It seems it would take a long time to warm the milk.</t>
  </si>
  <si>
    <t>Looking at the chart, this value yields Q/Q_max of about 6%, which is close to the lumped system analysis</t>
  </si>
  <si>
    <t>We can calculate Q/Q_max with equations instead of relying on reading the chart</t>
  </si>
  <si>
    <t>Use eigenvalues as coefficients in the one-term approximate solution of transient one-dimensional heat conduction</t>
  </si>
  <si>
    <t>lambda_1</t>
  </si>
  <si>
    <t>this value comes from a table</t>
  </si>
  <si>
    <t>A_1</t>
  </si>
  <si>
    <t>Tau</t>
  </si>
  <si>
    <t>Fourier number, dimensionless time</t>
  </si>
  <si>
    <t>Theta_sphere</t>
  </si>
  <si>
    <t xml:space="preserve">Value representing </t>
  </si>
  <si>
    <t>Q/Q_max</t>
  </si>
  <si>
    <t>So, we can calculate total heat addition to the milk in the 15 minutes</t>
  </si>
  <si>
    <t>Q_added</t>
  </si>
  <si>
    <t>Q_total</t>
  </si>
  <si>
    <t>gravitational acceleration</t>
  </si>
  <si>
    <t>coefficient of volume expansion</t>
  </si>
  <si>
    <t>The average heat rate over the 15 minutes is</t>
  </si>
  <si>
    <t>However, the bottom part of the container does not have convection heat transfer and will be considered separately</t>
  </si>
  <si>
    <t>Thus, the area of the container for convection will be about the same as the area of a sphere holding the same volume</t>
  </si>
  <si>
    <t>It makes sense that the one-dimensional heat conduction analysis is higher than the convection analysis</t>
  </si>
  <si>
    <t>In the convection analysis, we disregarded the area of the bottom of the container</t>
  </si>
  <si>
    <t>However, considering the one-dimensional heat conduction analysis is typically more accurate,</t>
  </si>
  <si>
    <t>We can pick a value in the middle to represent the convection heat loss</t>
  </si>
  <si>
    <t>Total heat gain as a result of convection</t>
  </si>
  <si>
    <t>Now, we will look at the second factor: conduction to the counter</t>
  </si>
  <si>
    <t>Wood</t>
  </si>
  <si>
    <t>Granite</t>
  </si>
  <si>
    <t>Steel</t>
  </si>
  <si>
    <t>Hotpad</t>
  </si>
  <si>
    <t>k_air</t>
  </si>
  <si>
    <t>rho</t>
  </si>
  <si>
    <t>kg/m^3</t>
  </si>
  <si>
    <t>c_p</t>
  </si>
  <si>
    <t>W/m^2</t>
  </si>
  <si>
    <t>T_s</t>
  </si>
  <si>
    <t>temperature of surface</t>
  </si>
  <si>
    <t>T_i</t>
  </si>
  <si>
    <t>temperature of "counter" that milk is set on</t>
  </si>
  <si>
    <t>q_flux_t1</t>
  </si>
  <si>
    <t>q_t1</t>
  </si>
  <si>
    <t>q_flux_t2</t>
  </si>
  <si>
    <t>q_flux_t3</t>
  </si>
  <si>
    <t>q_flux_t4</t>
  </si>
  <si>
    <t>q_flux_t5</t>
  </si>
  <si>
    <t>q_t2</t>
  </si>
  <si>
    <t>q_t3</t>
  </si>
  <si>
    <t>q_t4</t>
  </si>
  <si>
    <t>q_t5</t>
  </si>
  <si>
    <t>Q1</t>
  </si>
  <si>
    <t>Q2</t>
  </si>
  <si>
    <t>Q3</t>
  </si>
  <si>
    <t>Q4</t>
  </si>
  <si>
    <t>Average heat gain as a result of convection</t>
  </si>
  <si>
    <t>Q_modified</t>
  </si>
  <si>
    <t>Now, we will look at the third factor: condensation</t>
  </si>
  <si>
    <t>Heat loss due to condensation is simply the latent heat of vaporization of the water vapor changing from gas to liquid</t>
  </si>
  <si>
    <t>h_fg</t>
  </si>
  <si>
    <t>enthalpy of vaporization of water</t>
  </si>
  <si>
    <t>J/kg</t>
  </si>
  <si>
    <t>Q</t>
  </si>
  <si>
    <t>V_droplet</t>
  </si>
  <si>
    <t>drop/cm^2</t>
  </si>
  <si>
    <t>drop/m^2</t>
  </si>
  <si>
    <t>total drops</t>
  </si>
  <si>
    <t>V_tot</t>
  </si>
  <si>
    <t>mL</t>
  </si>
  <si>
    <t>Assume that in the 15 minutes, approximately 3 grams of water collects on the outer surface of the milk container</t>
  </si>
  <si>
    <t>Amount of condensation varies significantly based on humidity and air temperature</t>
  </si>
  <si>
    <t>However, based on observations, in a typical 15 minute period, one might expect small (radius = 0.5 mm)</t>
  </si>
  <si>
    <t>r_droplet</t>
  </si>
  <si>
    <t>each droplet is half of a sphere</t>
  </si>
  <si>
    <t>area of one droplet on milk container</t>
  </si>
  <si>
    <t>square centimeter</t>
  </si>
  <si>
    <t>area of N drops in a square centimeter</t>
  </si>
  <si>
    <t>fraction of area with drops on it</t>
  </si>
  <si>
    <t>Water droplets to cover about 10% of the surface</t>
  </si>
  <si>
    <t>assume droplets cover about 10% of the surface area of the milk container</t>
  </si>
  <si>
    <t>Thus:</t>
  </si>
  <si>
    <t>To check if 3 grams is a reasonable estimate: droplet calculations:</t>
  </si>
  <si>
    <t>I will use a figure of 5000 joules just because the above probably represents a humid air case, which will be reduced when the air is more dry</t>
  </si>
  <si>
    <t>These calculations performed with assistance from the following textbook:</t>
  </si>
  <si>
    <t>Heat and Mass Transfer: A Practical Approach</t>
  </si>
  <si>
    <t>Third Addition</t>
  </si>
  <si>
    <t>Yunus A. Cengel</t>
  </si>
  <si>
    <t>Published by McGraw-Hill,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</si>
</sst>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3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1" fontId="0" fillId="2" borderId="0" xfId="0" applyNumberFormat="1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abSelected="1" workbookViewId="0">
      <selection activeCell="A12" sqref="A12"/>
    </sheetView>
  </sheetViews>
  <sheetFormatPr defaultRowHeight="14.25" x14ac:dyDescent="0.2"/>
  <cols>
    <col min="1" max="6" width="10.75" customWidth="1"/>
  </cols>
  <sheetData>
    <row r="1" spans="1:2" x14ac:dyDescent="0.2">
      <c r="A1" t="s">
        <v>44</v>
      </c>
    </row>
    <row r="2" spans="1:2" x14ac:dyDescent="0.2">
      <c r="A2">
        <v>1</v>
      </c>
      <c r="B2" t="s">
        <v>45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47</v>
      </c>
    </row>
    <row r="5" spans="1:2" x14ac:dyDescent="0.2">
      <c r="A5">
        <v>4</v>
      </c>
      <c r="B5" t="s">
        <v>48</v>
      </c>
    </row>
    <row r="7" spans="1:2" x14ac:dyDescent="0.2">
      <c r="A7" t="s">
        <v>169</v>
      </c>
    </row>
    <row r="8" spans="1:2" x14ac:dyDescent="0.2">
      <c r="A8" t="s">
        <v>170</v>
      </c>
    </row>
    <row r="9" spans="1:2" x14ac:dyDescent="0.2">
      <c r="A9" t="s">
        <v>171</v>
      </c>
    </row>
    <row r="10" spans="1:2" x14ac:dyDescent="0.2">
      <c r="A10" t="s">
        <v>172</v>
      </c>
    </row>
    <row r="11" spans="1:2" x14ac:dyDescent="0.2">
      <c r="A11" t="s">
        <v>173</v>
      </c>
    </row>
    <row r="13" spans="1:2" x14ac:dyDescent="0.2">
      <c r="A13" t="s">
        <v>49</v>
      </c>
    </row>
    <row r="14" spans="1:2" x14ac:dyDescent="0.2">
      <c r="A14" t="s">
        <v>50</v>
      </c>
    </row>
    <row r="15" spans="1:2" x14ac:dyDescent="0.2">
      <c r="A15" t="s">
        <v>51</v>
      </c>
    </row>
    <row r="16" spans="1:2" x14ac:dyDescent="0.2">
      <c r="A16" t="s">
        <v>52</v>
      </c>
    </row>
    <row r="18" spans="1:4" x14ac:dyDescent="0.2">
      <c r="A18" t="s">
        <v>53</v>
      </c>
      <c r="B18">
        <v>9.8000000000000007</v>
      </c>
      <c r="C18" t="s">
        <v>54</v>
      </c>
      <c r="D18" t="s">
        <v>103</v>
      </c>
    </row>
    <row r="19" spans="1:4" x14ac:dyDescent="0.2">
      <c r="A19" t="s">
        <v>55</v>
      </c>
      <c r="B19">
        <f>1/293</f>
        <v>3.4129692832764505E-3</v>
      </c>
      <c r="C19" t="s">
        <v>56</v>
      </c>
      <c r="D19" t="s">
        <v>104</v>
      </c>
    </row>
    <row r="20" spans="1:4" x14ac:dyDescent="0.2">
      <c r="A20" t="s">
        <v>62</v>
      </c>
      <c r="B20">
        <v>275</v>
      </c>
      <c r="C20" t="s">
        <v>11</v>
      </c>
    </row>
    <row r="21" spans="1:4" x14ac:dyDescent="0.2">
      <c r="A21" t="s">
        <v>63</v>
      </c>
      <c r="B21">
        <v>293</v>
      </c>
      <c r="C21" t="s">
        <v>11</v>
      </c>
    </row>
    <row r="22" spans="1:4" x14ac:dyDescent="0.2">
      <c r="A22" t="s">
        <v>10</v>
      </c>
      <c r="B22">
        <f>B21-B20</f>
        <v>18</v>
      </c>
      <c r="C22" t="s">
        <v>11</v>
      </c>
      <c r="D22" t="s">
        <v>61</v>
      </c>
    </row>
    <row r="23" spans="1:4" x14ac:dyDescent="0.2">
      <c r="A23" t="s">
        <v>4</v>
      </c>
      <c r="B23">
        <v>0.2</v>
      </c>
      <c r="C23" t="s">
        <v>5</v>
      </c>
      <c r="D23" t="s">
        <v>57</v>
      </c>
    </row>
    <row r="24" spans="1:4" x14ac:dyDescent="0.2">
      <c r="A24" t="s">
        <v>58</v>
      </c>
      <c r="B24">
        <f>1.5*10^-5</f>
        <v>1.5000000000000002E-5</v>
      </c>
      <c r="C24" t="s">
        <v>42</v>
      </c>
      <c r="D24" t="s">
        <v>59</v>
      </c>
    </row>
    <row r="25" spans="1:4" x14ac:dyDescent="0.2">
      <c r="A25" t="s">
        <v>64</v>
      </c>
      <c r="B25">
        <f>(B18*B19*B22*B23^3)/B24^2</f>
        <v>21406143.344709896</v>
      </c>
      <c r="C25" t="s">
        <v>30</v>
      </c>
      <c r="D25" t="s">
        <v>66</v>
      </c>
    </row>
    <row r="26" spans="1:4" x14ac:dyDescent="0.2">
      <c r="A26" t="s">
        <v>60</v>
      </c>
      <c r="B26">
        <v>0.73</v>
      </c>
      <c r="C26" t="s">
        <v>30</v>
      </c>
      <c r="D26" t="s">
        <v>71</v>
      </c>
    </row>
    <row r="27" spans="1:4" x14ac:dyDescent="0.2">
      <c r="A27" t="s">
        <v>0</v>
      </c>
      <c r="B27">
        <f>B25*B26</f>
        <v>15626484.641638223</v>
      </c>
      <c r="C27" t="s">
        <v>30</v>
      </c>
      <c r="D27" t="s">
        <v>65</v>
      </c>
    </row>
    <row r="28" spans="1:4" x14ac:dyDescent="0.2">
      <c r="A28" t="s">
        <v>1</v>
      </c>
      <c r="B28">
        <f>(0.825+(0.387*B27^(1/6))/(1+(0.492/B26)^(9/16))^(8/27))^2</f>
        <v>35.584015370954589</v>
      </c>
      <c r="C28" t="s">
        <v>30</v>
      </c>
      <c r="D28" t="s">
        <v>67</v>
      </c>
    </row>
    <row r="29" spans="1:4" x14ac:dyDescent="0.2">
      <c r="A29" t="s">
        <v>1</v>
      </c>
      <c r="B29">
        <f>0.59*B27^0.25</f>
        <v>37.095167291800543</v>
      </c>
      <c r="C29" t="s">
        <v>30</v>
      </c>
      <c r="D29" t="s">
        <v>68</v>
      </c>
    </row>
    <row r="31" spans="1:4" x14ac:dyDescent="0.2">
      <c r="A31" t="s">
        <v>69</v>
      </c>
    </row>
    <row r="32" spans="1:4" x14ac:dyDescent="0.2">
      <c r="A32" t="s">
        <v>23</v>
      </c>
    </row>
    <row r="33" spans="1:5" x14ac:dyDescent="0.2">
      <c r="C33" t="s">
        <v>24</v>
      </c>
      <c r="D33">
        <v>3.78</v>
      </c>
      <c r="E33" t="s">
        <v>25</v>
      </c>
    </row>
    <row r="34" spans="1:5" x14ac:dyDescent="0.2">
      <c r="C34" t="s">
        <v>24</v>
      </c>
      <c r="D34">
        <v>3.7799999999999999E-3</v>
      </c>
      <c r="E34" t="s">
        <v>26</v>
      </c>
    </row>
    <row r="35" spans="1:5" x14ac:dyDescent="0.2">
      <c r="C35" t="s">
        <v>27</v>
      </c>
      <c r="D35">
        <f>((3*D34)/(4*PI()))^(1/3)</f>
        <v>9.663498795226716E-2</v>
      </c>
      <c r="E35" t="s">
        <v>5</v>
      </c>
    </row>
    <row r="36" spans="1:5" x14ac:dyDescent="0.2">
      <c r="C36" t="s">
        <v>28</v>
      </c>
      <c r="D36">
        <f>2*D35</f>
        <v>0.19326997590453432</v>
      </c>
      <c r="E36" t="s">
        <v>5</v>
      </c>
    </row>
    <row r="37" spans="1:5" x14ac:dyDescent="0.2">
      <c r="A37" t="s">
        <v>70</v>
      </c>
    </row>
    <row r="38" spans="1:5" x14ac:dyDescent="0.2">
      <c r="A38" t="s">
        <v>64</v>
      </c>
      <c r="B38">
        <f>(B18*B19*B22*D36^3)/B24^2</f>
        <v>19317086.291536946</v>
      </c>
      <c r="C38" t="s">
        <v>30</v>
      </c>
    </row>
    <row r="39" spans="1:5" x14ac:dyDescent="0.2">
      <c r="A39" t="s">
        <v>0</v>
      </c>
      <c r="B39">
        <f>B38*B26</f>
        <v>14101472.992821971</v>
      </c>
      <c r="C39" t="s">
        <v>30</v>
      </c>
    </row>
    <row r="40" spans="1:5" x14ac:dyDescent="0.2">
      <c r="A40" t="s">
        <v>1</v>
      </c>
      <c r="B40">
        <f>2+(0.589*B39^0.25)/(1+(0.469/B26)^(9/16))^(4/9)</f>
        <v>29.936274598520335</v>
      </c>
      <c r="C40" t="s">
        <v>30</v>
      </c>
      <c r="D40" t="s">
        <v>72</v>
      </c>
    </row>
    <row r="42" spans="1:5" x14ac:dyDescent="0.2">
      <c r="A42" t="s">
        <v>73</v>
      </c>
    </row>
    <row r="43" spans="1:5" x14ac:dyDescent="0.2">
      <c r="A43" t="s">
        <v>118</v>
      </c>
      <c r="B43">
        <v>2.5000000000000001E-2</v>
      </c>
      <c r="C43" t="s">
        <v>3</v>
      </c>
    </row>
    <row r="45" spans="1:5" x14ac:dyDescent="0.2">
      <c r="A45" t="s">
        <v>74</v>
      </c>
    </row>
    <row r="46" spans="1:5" x14ac:dyDescent="0.2">
      <c r="A46" t="s">
        <v>75</v>
      </c>
    </row>
    <row r="47" spans="1:5" x14ac:dyDescent="0.2">
      <c r="A47" t="s">
        <v>76</v>
      </c>
      <c r="B47">
        <f>4*PI()*D35^2</f>
        <v>0.11734880130167136</v>
      </c>
      <c r="C47" t="s">
        <v>9</v>
      </c>
    </row>
    <row r="48" spans="1:5" x14ac:dyDescent="0.2">
      <c r="A48" t="s">
        <v>77</v>
      </c>
    </row>
    <row r="49" spans="1:3" x14ac:dyDescent="0.2">
      <c r="A49" t="s">
        <v>106</v>
      </c>
    </row>
    <row r="50" spans="1:3" x14ac:dyDescent="0.2">
      <c r="A50" t="s">
        <v>107</v>
      </c>
    </row>
    <row r="51" spans="1:3" x14ac:dyDescent="0.2">
      <c r="A51" t="s">
        <v>78</v>
      </c>
      <c r="B51">
        <f>B47</f>
        <v>0.11734880130167136</v>
      </c>
      <c r="C51" t="s">
        <v>9</v>
      </c>
    </row>
    <row r="53" spans="1:3" x14ac:dyDescent="0.2">
      <c r="A53" t="s">
        <v>79</v>
      </c>
    </row>
    <row r="54" spans="1:3" x14ac:dyDescent="0.2">
      <c r="A54" t="s">
        <v>1</v>
      </c>
      <c r="B54">
        <f>AVERAGE(B40,B28)</f>
        <v>32.760144984737465</v>
      </c>
      <c r="C54" t="s">
        <v>30</v>
      </c>
    </row>
    <row r="56" spans="1:3" x14ac:dyDescent="0.2">
      <c r="A56" t="s">
        <v>80</v>
      </c>
    </row>
    <row r="57" spans="1:3" x14ac:dyDescent="0.2">
      <c r="A57" t="s">
        <v>6</v>
      </c>
      <c r="B57">
        <f>(B54*B43)/D36</f>
        <v>4.2376143567326947</v>
      </c>
      <c r="C57" t="s">
        <v>7</v>
      </c>
    </row>
    <row r="59" spans="1:3" x14ac:dyDescent="0.2">
      <c r="A59" t="s">
        <v>81</v>
      </c>
    </row>
    <row r="60" spans="1:3" x14ac:dyDescent="0.2">
      <c r="A60" t="s">
        <v>34</v>
      </c>
      <c r="B60" s="1">
        <f>B57*B51*B22</f>
        <v>8.9510213725440266</v>
      </c>
      <c r="C60" t="s">
        <v>12</v>
      </c>
    </row>
    <row r="62" spans="1:3" x14ac:dyDescent="0.2">
      <c r="A62" t="s">
        <v>82</v>
      </c>
    </row>
    <row r="63" spans="1:3" x14ac:dyDescent="0.2">
      <c r="A63" t="s">
        <v>5</v>
      </c>
      <c r="B63">
        <f>3.8</f>
        <v>3.8</v>
      </c>
      <c r="C63" t="s">
        <v>18</v>
      </c>
    </row>
    <row r="64" spans="1:3" x14ac:dyDescent="0.2">
      <c r="A64" t="s">
        <v>19</v>
      </c>
      <c r="B64">
        <v>3790</v>
      </c>
      <c r="C64" t="s">
        <v>20</v>
      </c>
    </row>
    <row r="65" spans="1:5" x14ac:dyDescent="0.2">
      <c r="A65" t="s">
        <v>10</v>
      </c>
      <c r="B65">
        <v>18</v>
      </c>
      <c r="C65" t="s">
        <v>11</v>
      </c>
    </row>
    <row r="66" spans="1:5" x14ac:dyDescent="0.2">
      <c r="A66" t="s">
        <v>102</v>
      </c>
      <c r="B66">
        <f>B63*B64*B65</f>
        <v>259236</v>
      </c>
      <c r="C66" t="s">
        <v>13</v>
      </c>
    </row>
    <row r="67" spans="1:5" x14ac:dyDescent="0.2">
      <c r="A67" t="s">
        <v>14</v>
      </c>
      <c r="B67">
        <f>B66/B60</f>
        <v>28961.611106769247</v>
      </c>
      <c r="C67" t="s">
        <v>15</v>
      </c>
      <c r="D67" t="s">
        <v>16</v>
      </c>
    </row>
    <row r="68" spans="1:5" x14ac:dyDescent="0.2">
      <c r="B68">
        <f>B67/60</f>
        <v>482.69351844615414</v>
      </c>
      <c r="C68" t="s">
        <v>17</v>
      </c>
    </row>
    <row r="69" spans="1:5" x14ac:dyDescent="0.2">
      <c r="B69">
        <f>B68/60</f>
        <v>8.0448919741025691</v>
      </c>
      <c r="C69" t="s">
        <v>83</v>
      </c>
    </row>
    <row r="71" spans="1:5" x14ac:dyDescent="0.2">
      <c r="A71" t="s">
        <v>84</v>
      </c>
    </row>
    <row r="72" spans="1:5" x14ac:dyDescent="0.2">
      <c r="A72" t="s">
        <v>21</v>
      </c>
    </row>
    <row r="73" spans="1:5" x14ac:dyDescent="0.2">
      <c r="A73" t="s">
        <v>22</v>
      </c>
    </row>
    <row r="74" spans="1:5" x14ac:dyDescent="0.2">
      <c r="A74" t="s">
        <v>23</v>
      </c>
    </row>
    <row r="75" spans="1:5" x14ac:dyDescent="0.2">
      <c r="A75" t="s">
        <v>85</v>
      </c>
    </row>
    <row r="76" spans="1:5" x14ac:dyDescent="0.2">
      <c r="B76" t="s">
        <v>4</v>
      </c>
      <c r="C76">
        <f>D36/6</f>
        <v>3.2211662650755722E-2</v>
      </c>
      <c r="D76" t="s">
        <v>5</v>
      </c>
    </row>
    <row r="77" spans="1:5" x14ac:dyDescent="0.2">
      <c r="B77" t="s">
        <v>40</v>
      </c>
      <c r="C77">
        <v>0.6</v>
      </c>
      <c r="D77" t="s">
        <v>3</v>
      </c>
    </row>
    <row r="78" spans="1:5" x14ac:dyDescent="0.2">
      <c r="B78" t="s">
        <v>29</v>
      </c>
      <c r="C78">
        <f>(B57*C76)/C77</f>
        <v>0.22750100683845462</v>
      </c>
      <c r="D78" t="s">
        <v>30</v>
      </c>
      <c r="E78" t="s">
        <v>86</v>
      </c>
    </row>
    <row r="80" spans="1:5" x14ac:dyDescent="0.2">
      <c r="A80" t="s">
        <v>31</v>
      </c>
    </row>
    <row r="81" spans="1:5" x14ac:dyDescent="0.2">
      <c r="A81" t="s">
        <v>32</v>
      </c>
    </row>
    <row r="82" spans="1:5" x14ac:dyDescent="0.2">
      <c r="A82" t="s">
        <v>33</v>
      </c>
    </row>
    <row r="83" spans="1:5" x14ac:dyDescent="0.2">
      <c r="B83" t="s">
        <v>34</v>
      </c>
      <c r="C83" s="1">
        <f>B57*B51*B22</f>
        <v>8.9510213725440266</v>
      </c>
      <c r="D83" t="s">
        <v>12</v>
      </c>
    </row>
    <row r="84" spans="1:5" x14ac:dyDescent="0.2">
      <c r="D84" s="2"/>
    </row>
    <row r="85" spans="1:5" x14ac:dyDescent="0.2">
      <c r="A85" t="s">
        <v>35</v>
      </c>
    </row>
    <row r="86" spans="1:5" x14ac:dyDescent="0.2">
      <c r="A86" t="s">
        <v>87</v>
      </c>
    </row>
    <row r="87" spans="1:5" x14ac:dyDescent="0.2">
      <c r="C87" t="s">
        <v>36</v>
      </c>
      <c r="D87">
        <f>C83*60*15</f>
        <v>8055.9192352896234</v>
      </c>
      <c r="E87" t="s">
        <v>13</v>
      </c>
    </row>
    <row r="88" spans="1:5" x14ac:dyDescent="0.2">
      <c r="A88" t="s">
        <v>37</v>
      </c>
    </row>
    <row r="89" spans="1:5" x14ac:dyDescent="0.2">
      <c r="C89" t="s">
        <v>38</v>
      </c>
      <c r="D89">
        <f>D87/B66</f>
        <v>3.1075619263102438E-2</v>
      </c>
    </row>
    <row r="90" spans="1:5" x14ac:dyDescent="0.2">
      <c r="A90" t="s">
        <v>88</v>
      </c>
    </row>
    <row r="91" spans="1:5" x14ac:dyDescent="0.2">
      <c r="A91" t="s">
        <v>39</v>
      </c>
    </row>
    <row r="92" spans="1:5" x14ac:dyDescent="0.2">
      <c r="B92" t="s">
        <v>41</v>
      </c>
      <c r="C92">
        <f>0.13*10^-6</f>
        <v>1.3E-7</v>
      </c>
      <c r="D92" t="s">
        <v>42</v>
      </c>
    </row>
    <row r="93" spans="1:5" x14ac:dyDescent="0.2">
      <c r="B93" t="s">
        <v>14</v>
      </c>
      <c r="C93">
        <f>60*15</f>
        <v>900</v>
      </c>
      <c r="D93" t="s">
        <v>15</v>
      </c>
    </row>
    <row r="94" spans="1:5" x14ac:dyDescent="0.2">
      <c r="B94" t="s">
        <v>43</v>
      </c>
      <c r="C94">
        <f>(B57^2*C92*C93)/C77^2</f>
        <v>5.8361470168257915E-3</v>
      </c>
    </row>
    <row r="96" spans="1:5" x14ac:dyDescent="0.2">
      <c r="A96" t="s">
        <v>89</v>
      </c>
    </row>
    <row r="97" spans="1:5" x14ac:dyDescent="0.2">
      <c r="A97" t="s">
        <v>90</v>
      </c>
    </row>
    <row r="98" spans="1:5" x14ac:dyDescent="0.2">
      <c r="A98" t="s">
        <v>91</v>
      </c>
    </row>
    <row r="99" spans="1:5" x14ac:dyDescent="0.2">
      <c r="B99" t="s">
        <v>92</v>
      </c>
      <c r="C99">
        <v>0.8</v>
      </c>
      <c r="D99" t="s">
        <v>30</v>
      </c>
      <c r="E99" t="s">
        <v>93</v>
      </c>
    </row>
    <row r="100" spans="1:5" x14ac:dyDescent="0.2">
      <c r="B100" t="s">
        <v>94</v>
      </c>
      <c r="C100">
        <v>1.07</v>
      </c>
      <c r="D100" t="s">
        <v>30</v>
      </c>
      <c r="E100" t="s">
        <v>93</v>
      </c>
    </row>
    <row r="101" spans="1:5" x14ac:dyDescent="0.2">
      <c r="B101" t="s">
        <v>95</v>
      </c>
      <c r="C101">
        <f>(C92*C93)/C76^2</f>
        <v>0.11276117105707277</v>
      </c>
      <c r="D101" t="s">
        <v>30</v>
      </c>
      <c r="E101" t="s">
        <v>96</v>
      </c>
    </row>
    <row r="102" spans="1:5" x14ac:dyDescent="0.2">
      <c r="B102" t="s">
        <v>97</v>
      </c>
      <c r="C102">
        <f>C100*EXP(-(C99^2)*C101)</f>
        <v>0.99550164703139854</v>
      </c>
      <c r="D102" t="s">
        <v>30</v>
      </c>
      <c r="E102" t="s">
        <v>98</v>
      </c>
    </row>
    <row r="103" spans="1:5" x14ac:dyDescent="0.2">
      <c r="B103" t="s">
        <v>99</v>
      </c>
      <c r="C103">
        <f>1-3*C102*((SIN(C99)-C99*COS(C99))/C99^3)</f>
        <v>6.677131635075817E-2</v>
      </c>
    </row>
    <row r="104" spans="1:5" x14ac:dyDescent="0.2">
      <c r="A104" t="s">
        <v>100</v>
      </c>
    </row>
    <row r="105" spans="1:5" x14ac:dyDescent="0.2">
      <c r="B105" t="s">
        <v>101</v>
      </c>
      <c r="C105" s="2">
        <f>C103*B66</f>
        <v>17309.528965505146</v>
      </c>
      <c r="D105" t="s">
        <v>13</v>
      </c>
    </row>
    <row r="106" spans="1:5" x14ac:dyDescent="0.2">
      <c r="A106" t="s">
        <v>105</v>
      </c>
    </row>
    <row r="107" spans="1:5" x14ac:dyDescent="0.2">
      <c r="B107" t="s">
        <v>34</v>
      </c>
      <c r="C107" s="1">
        <f>C105/(15*60)</f>
        <v>19.232809961672384</v>
      </c>
      <c r="D107" t="s">
        <v>12</v>
      </c>
    </row>
    <row r="109" spans="1:5" x14ac:dyDescent="0.2">
      <c r="A109" t="s">
        <v>108</v>
      </c>
    </row>
    <row r="110" spans="1:5" x14ac:dyDescent="0.2">
      <c r="A110" t="s">
        <v>109</v>
      </c>
    </row>
    <row r="111" spans="1:5" x14ac:dyDescent="0.2">
      <c r="A111" t="s">
        <v>110</v>
      </c>
    </row>
    <row r="112" spans="1:5" x14ac:dyDescent="0.2">
      <c r="A112" t="s">
        <v>111</v>
      </c>
    </row>
    <row r="113" spans="1:7" x14ac:dyDescent="0.2">
      <c r="A113" t="s">
        <v>141</v>
      </c>
      <c r="D113" s="1">
        <v>15</v>
      </c>
      <c r="E113" t="s">
        <v>12</v>
      </c>
    </row>
    <row r="114" spans="1:7" x14ac:dyDescent="0.2">
      <c r="A114" t="s">
        <v>112</v>
      </c>
      <c r="D114" s="1">
        <f>D113*900</f>
        <v>13500</v>
      </c>
      <c r="E114" t="s">
        <v>13</v>
      </c>
    </row>
    <row r="115" spans="1:7" x14ac:dyDescent="0.2">
      <c r="D115" s="2"/>
    </row>
    <row r="116" spans="1:7" x14ac:dyDescent="0.2">
      <c r="A116" t="s">
        <v>113</v>
      </c>
      <c r="D116" s="2"/>
    </row>
    <row r="117" spans="1:7" x14ac:dyDescent="0.2">
      <c r="A117" t="s">
        <v>123</v>
      </c>
      <c r="B117">
        <v>275</v>
      </c>
      <c r="C117" t="s">
        <v>11</v>
      </c>
      <c r="D117" s="2" t="s">
        <v>124</v>
      </c>
    </row>
    <row r="118" spans="1:7" x14ac:dyDescent="0.2">
      <c r="A118" t="s">
        <v>125</v>
      </c>
      <c r="B118">
        <v>293</v>
      </c>
      <c r="C118" t="s">
        <v>11</v>
      </c>
      <c r="D118" s="2" t="s">
        <v>126</v>
      </c>
    </row>
    <row r="119" spans="1:7" x14ac:dyDescent="0.2">
      <c r="A119" t="s">
        <v>10</v>
      </c>
      <c r="B119">
        <f>B118-B117</f>
        <v>18</v>
      </c>
      <c r="C119" t="s">
        <v>11</v>
      </c>
      <c r="D119" s="2"/>
    </row>
    <row r="120" spans="1:7" x14ac:dyDescent="0.2">
      <c r="A120" t="s">
        <v>8</v>
      </c>
      <c r="B120">
        <f>0.15^2</f>
        <v>2.2499999999999999E-2</v>
      </c>
      <c r="C120" t="s">
        <v>9</v>
      </c>
      <c r="D120" s="2"/>
    </row>
    <row r="121" spans="1:7" x14ac:dyDescent="0.2">
      <c r="D121" s="2"/>
    </row>
    <row r="122" spans="1:7" x14ac:dyDescent="0.2">
      <c r="C122" t="s">
        <v>14</v>
      </c>
      <c r="D122" t="s">
        <v>114</v>
      </c>
      <c r="E122" t="s">
        <v>115</v>
      </c>
      <c r="F122" s="2" t="s">
        <v>116</v>
      </c>
      <c r="G122" s="2" t="s">
        <v>117</v>
      </c>
    </row>
    <row r="123" spans="1:7" x14ac:dyDescent="0.2">
      <c r="A123" t="s">
        <v>2</v>
      </c>
      <c r="B123" t="s">
        <v>3</v>
      </c>
      <c r="D123">
        <v>0.13</v>
      </c>
      <c r="E123" s="2">
        <v>2.5</v>
      </c>
      <c r="F123">
        <v>45.3</v>
      </c>
      <c r="G123">
        <v>0.05</v>
      </c>
    </row>
    <row r="124" spans="1:7" x14ac:dyDescent="0.2">
      <c r="A124" t="s">
        <v>119</v>
      </c>
      <c r="B124" t="s">
        <v>120</v>
      </c>
      <c r="D124">
        <v>600</v>
      </c>
      <c r="E124" s="2">
        <v>2700</v>
      </c>
      <c r="F124">
        <v>7833</v>
      </c>
      <c r="G124">
        <v>145</v>
      </c>
    </row>
    <row r="125" spans="1:7" x14ac:dyDescent="0.2">
      <c r="A125" t="s">
        <v>121</v>
      </c>
      <c r="B125" t="s">
        <v>20</v>
      </c>
      <c r="D125">
        <v>1300</v>
      </c>
      <c r="E125" s="2">
        <v>750</v>
      </c>
      <c r="F125">
        <v>500</v>
      </c>
      <c r="G125">
        <v>1000</v>
      </c>
    </row>
    <row r="126" spans="1:7" x14ac:dyDescent="0.2">
      <c r="A126" t="s">
        <v>41</v>
      </c>
      <c r="B126" t="s">
        <v>42</v>
      </c>
      <c r="D126">
        <f>D123/(D124*D125)</f>
        <v>1.6666666666666668E-7</v>
      </c>
      <c r="E126">
        <f>E123/(E124*E125)</f>
        <v>1.2345679012345679E-6</v>
      </c>
      <c r="F126">
        <f>F123/(F124*F125)</f>
        <v>1.1566449636154729E-5</v>
      </c>
      <c r="G126">
        <f>G123/(G124*G125)</f>
        <v>3.4482758620689656E-7</v>
      </c>
    </row>
    <row r="127" spans="1:7" x14ac:dyDescent="0.2">
      <c r="A127" t="s">
        <v>127</v>
      </c>
      <c r="B127" t="s">
        <v>122</v>
      </c>
      <c r="C127">
        <v>1</v>
      </c>
      <c r="D127">
        <f>(D$123*$B$119)/SQRT(PI()*D$126*$C127)</f>
        <v>3233.8252390516996</v>
      </c>
      <c r="E127">
        <f>(E$123*$B$119)/SQRT(PI()*E$126*$C127)</f>
        <v>22849.67813368413</v>
      </c>
      <c r="F127">
        <f>(F$123*$B$119)/SQRT(PI()*F$126*$C127)</f>
        <v>135268.20755281692</v>
      </c>
      <c r="G127">
        <f>(G$123*$B$119)/SQRT(PI()*G$126*$C127)</f>
        <v>864.70221616792696</v>
      </c>
    </row>
    <row r="128" spans="1:7" x14ac:dyDescent="0.2">
      <c r="A128" t="s">
        <v>129</v>
      </c>
      <c r="B128" t="s">
        <v>122</v>
      </c>
      <c r="C128">
        <v>10</v>
      </c>
      <c r="D128">
        <f t="shared" ref="D128:G131" si="0">(D$123*$B$119)/SQRT(PI()*D$126*$C128)</f>
        <v>1022.6253310341858</v>
      </c>
      <c r="E128">
        <f t="shared" si="0"/>
        <v>7225.7026704187238</v>
      </c>
      <c r="F128">
        <f t="shared" si="0"/>
        <v>42775.563087529255</v>
      </c>
      <c r="G128">
        <f t="shared" si="0"/>
        <v>273.44285008859242</v>
      </c>
    </row>
    <row r="129" spans="1:7" x14ac:dyDescent="0.2">
      <c r="A129" t="s">
        <v>130</v>
      </c>
      <c r="B129" t="s">
        <v>122</v>
      </c>
      <c r="C129">
        <v>100</v>
      </c>
      <c r="D129">
        <f t="shared" si="0"/>
        <v>323.38252390516999</v>
      </c>
      <c r="E129">
        <f t="shared" si="0"/>
        <v>2284.9678133684129</v>
      </c>
      <c r="F129">
        <f t="shared" si="0"/>
        <v>13526.820755281691</v>
      </c>
      <c r="G129">
        <f t="shared" si="0"/>
        <v>86.470221616792699</v>
      </c>
    </row>
    <row r="130" spans="1:7" x14ac:dyDescent="0.2">
      <c r="A130" t="s">
        <v>131</v>
      </c>
      <c r="B130" t="s">
        <v>122</v>
      </c>
      <c r="C130">
        <v>400</v>
      </c>
      <c r="D130">
        <f t="shared" si="0"/>
        <v>161.69126195258499</v>
      </c>
      <c r="E130">
        <f t="shared" si="0"/>
        <v>1142.4839066842064</v>
      </c>
      <c r="F130">
        <f t="shared" si="0"/>
        <v>6763.4103776408456</v>
      </c>
      <c r="G130">
        <f t="shared" si="0"/>
        <v>43.23511080839635</v>
      </c>
    </row>
    <row r="131" spans="1:7" x14ac:dyDescent="0.2">
      <c r="A131" t="s">
        <v>132</v>
      </c>
      <c r="B131" t="s">
        <v>122</v>
      </c>
      <c r="C131">
        <v>900</v>
      </c>
      <c r="D131">
        <f t="shared" si="0"/>
        <v>107.79417463505665</v>
      </c>
      <c r="E131">
        <f t="shared" si="0"/>
        <v>761.65593778947107</v>
      </c>
      <c r="F131">
        <f t="shared" si="0"/>
        <v>4508.940251760564</v>
      </c>
      <c r="G131">
        <f t="shared" si="0"/>
        <v>28.823407205597569</v>
      </c>
    </row>
    <row r="132" spans="1:7" x14ac:dyDescent="0.2">
      <c r="A132" t="s">
        <v>128</v>
      </c>
      <c r="B132" t="s">
        <v>12</v>
      </c>
      <c r="C132">
        <v>1</v>
      </c>
      <c r="D132">
        <f>D127*$B$120</f>
        <v>72.761067878663241</v>
      </c>
      <c r="E132">
        <f>E127*$B$120</f>
        <v>514.11775800789292</v>
      </c>
      <c r="F132">
        <f>F127*$B$120</f>
        <v>3043.5346699383808</v>
      </c>
      <c r="G132">
        <f>G127*$B$120</f>
        <v>19.455799863778356</v>
      </c>
    </row>
    <row r="133" spans="1:7" x14ac:dyDescent="0.2">
      <c r="A133" t="s">
        <v>133</v>
      </c>
      <c r="B133" t="s">
        <v>12</v>
      </c>
      <c r="C133">
        <v>10</v>
      </c>
      <c r="D133">
        <f>D128*$B$120</f>
        <v>23.009069948269179</v>
      </c>
      <c r="E133">
        <f>E128*$B$120</f>
        <v>162.57831008442128</v>
      </c>
      <c r="F133">
        <f>F128*$B$120</f>
        <v>962.45016946940825</v>
      </c>
      <c r="G133">
        <f>G128*$B$120</f>
        <v>6.1524641269933289</v>
      </c>
    </row>
    <row r="134" spans="1:7" x14ac:dyDescent="0.2">
      <c r="A134" t="s">
        <v>134</v>
      </c>
      <c r="B134" t="s">
        <v>12</v>
      </c>
      <c r="C134">
        <v>100</v>
      </c>
      <c r="D134">
        <f>D129*$B$120</f>
        <v>7.2761067878663246</v>
      </c>
      <c r="E134">
        <f>E129*$B$120</f>
        <v>51.411775800789286</v>
      </c>
      <c r="F134">
        <f>F129*$B$120</f>
        <v>304.35346699383803</v>
      </c>
      <c r="G134">
        <f>G129*$B$120</f>
        <v>1.9455799863778356</v>
      </c>
    </row>
    <row r="135" spans="1:7" x14ac:dyDescent="0.2">
      <c r="A135" t="s">
        <v>135</v>
      </c>
      <c r="B135" t="s">
        <v>12</v>
      </c>
      <c r="C135">
        <v>400</v>
      </c>
      <c r="D135">
        <f>D130*$B$120</f>
        <v>3.6380533939331623</v>
      </c>
      <c r="E135">
        <f>E130*$B$120</f>
        <v>25.705887900394643</v>
      </c>
      <c r="F135">
        <f>F130*$B$120</f>
        <v>152.17673349691901</v>
      </c>
      <c r="G135">
        <f>G130*$B$120</f>
        <v>0.97278999318891779</v>
      </c>
    </row>
    <row r="136" spans="1:7" x14ac:dyDescent="0.2">
      <c r="A136" t="s">
        <v>136</v>
      </c>
      <c r="B136" t="s">
        <v>12</v>
      </c>
      <c r="C136">
        <v>900</v>
      </c>
      <c r="D136">
        <f>D131*$B$120</f>
        <v>2.4253689292887746</v>
      </c>
      <c r="E136">
        <f>E131*$B$120</f>
        <v>17.137258600263099</v>
      </c>
      <c r="F136">
        <f>F131*$B$120</f>
        <v>101.45115566461268</v>
      </c>
      <c r="G136">
        <f>G131*$B$120</f>
        <v>0.64852666212594523</v>
      </c>
    </row>
    <row r="137" spans="1:7" x14ac:dyDescent="0.2">
      <c r="A137" t="s">
        <v>137</v>
      </c>
      <c r="B137" t="s">
        <v>13</v>
      </c>
      <c r="D137">
        <f>AVERAGE(D132-D133)*($C133-$C132)</f>
        <v>447.76798137354655</v>
      </c>
      <c r="E137">
        <f t="shared" ref="E137:G137" si="1">AVERAGE(E132-E133)*($C133-$C132)</f>
        <v>3163.8550313112446</v>
      </c>
      <c r="F137">
        <f t="shared" si="1"/>
        <v>18729.760504220754</v>
      </c>
      <c r="G137">
        <f t="shared" si="1"/>
        <v>119.73002163106524</v>
      </c>
    </row>
    <row r="138" spans="1:7" x14ac:dyDescent="0.2">
      <c r="A138" t="s">
        <v>138</v>
      </c>
      <c r="B138" t="s">
        <v>13</v>
      </c>
      <c r="D138">
        <f t="shared" ref="D138:G140" si="2">AVERAGE(D133-D134)*($C134-$C133)</f>
        <v>1415.9666844362569</v>
      </c>
      <c r="E138">
        <f t="shared" si="2"/>
        <v>10004.988085526878</v>
      </c>
      <c r="F138">
        <f t="shared" si="2"/>
        <v>59228.703222801327</v>
      </c>
      <c r="G138">
        <f t="shared" si="2"/>
        <v>378.61957265539439</v>
      </c>
    </row>
    <row r="139" spans="1:7" x14ac:dyDescent="0.2">
      <c r="A139" t="s">
        <v>139</v>
      </c>
      <c r="B139" t="s">
        <v>13</v>
      </c>
      <c r="D139">
        <f t="shared" si="2"/>
        <v>1091.4160181799487</v>
      </c>
      <c r="E139">
        <f t="shared" si="2"/>
        <v>7711.7663701183928</v>
      </c>
      <c r="F139">
        <f t="shared" si="2"/>
        <v>45653.020049075705</v>
      </c>
      <c r="G139">
        <f t="shared" si="2"/>
        <v>291.83699795667536</v>
      </c>
    </row>
    <row r="140" spans="1:7" x14ac:dyDescent="0.2">
      <c r="A140" t="s">
        <v>140</v>
      </c>
      <c r="B140" t="s">
        <v>13</v>
      </c>
      <c r="D140">
        <f t="shared" si="2"/>
        <v>606.34223232219381</v>
      </c>
      <c r="E140">
        <f t="shared" si="2"/>
        <v>4284.3146500657722</v>
      </c>
      <c r="F140">
        <f t="shared" si="2"/>
        <v>25362.788916153164</v>
      </c>
      <c r="G140">
        <f t="shared" si="2"/>
        <v>162.13166553148628</v>
      </c>
    </row>
    <row r="141" spans="1:7" x14ac:dyDescent="0.2">
      <c r="A141" t="s">
        <v>102</v>
      </c>
      <c r="B141" t="s">
        <v>13</v>
      </c>
      <c r="D141" s="3">
        <f>SUM(D137:D140)</f>
        <v>3561.4929163119459</v>
      </c>
      <c r="E141" s="3">
        <f t="shared" ref="E141:G141" si="3">SUM(E137:E140)</f>
        <v>25164.924137022288</v>
      </c>
      <c r="F141" s="3">
        <f t="shared" si="3"/>
        <v>148974.27269225096</v>
      </c>
      <c r="G141" s="3">
        <f t="shared" si="3"/>
        <v>952.31825777462132</v>
      </c>
    </row>
    <row r="142" spans="1:7" x14ac:dyDescent="0.2">
      <c r="A142" t="s">
        <v>142</v>
      </c>
      <c r="B142" t="s">
        <v>13</v>
      </c>
      <c r="D142" s="3">
        <f>D141*0.8</f>
        <v>2849.1943330495569</v>
      </c>
      <c r="E142" s="3">
        <f>E141*0.5</f>
        <v>12582.462068511144</v>
      </c>
      <c r="F142" s="3">
        <f>F141*0.15</f>
        <v>22346.140903837644</v>
      </c>
      <c r="G142" s="3">
        <f>G141*0.9</f>
        <v>857.08643199715925</v>
      </c>
    </row>
    <row r="144" spans="1:7" x14ac:dyDescent="0.2">
      <c r="A144" t="s">
        <v>143</v>
      </c>
    </row>
    <row r="145" spans="1:5" x14ac:dyDescent="0.2">
      <c r="A145" t="s">
        <v>144</v>
      </c>
    </row>
    <row r="146" spans="1:5" x14ac:dyDescent="0.2">
      <c r="A146" t="s">
        <v>156</v>
      </c>
    </row>
    <row r="147" spans="1:5" x14ac:dyDescent="0.2">
      <c r="A147" t="s">
        <v>157</v>
      </c>
    </row>
    <row r="148" spans="1:5" x14ac:dyDescent="0.2">
      <c r="A148" t="s">
        <v>164</v>
      </c>
    </row>
    <row r="149" spans="1:5" x14ac:dyDescent="0.2">
      <c r="A149" t="s">
        <v>166</v>
      </c>
    </row>
    <row r="150" spans="1:5" x14ac:dyDescent="0.2">
      <c r="A150" t="s">
        <v>155</v>
      </c>
    </row>
    <row r="151" spans="1:5" x14ac:dyDescent="0.2">
      <c r="B151" t="s">
        <v>5</v>
      </c>
      <c r="C151">
        <v>3.0000000000000001E-3</v>
      </c>
      <c r="D151" t="s">
        <v>18</v>
      </c>
    </row>
    <row r="152" spans="1:5" x14ac:dyDescent="0.2">
      <c r="B152" t="s">
        <v>145</v>
      </c>
      <c r="C152">
        <v>2430000</v>
      </c>
      <c r="D152" t="s">
        <v>147</v>
      </c>
      <c r="E152" t="s">
        <v>146</v>
      </c>
    </row>
    <row r="153" spans="1:5" x14ac:dyDescent="0.2">
      <c r="B153" t="s">
        <v>148</v>
      </c>
      <c r="C153" s="1">
        <f>C151*C152</f>
        <v>7290</v>
      </c>
      <c r="D153" t="s">
        <v>13</v>
      </c>
    </row>
    <row r="155" spans="1:5" x14ac:dyDescent="0.2">
      <c r="A155" t="s">
        <v>167</v>
      </c>
    </row>
    <row r="156" spans="1:5" x14ac:dyDescent="0.2">
      <c r="B156" t="s">
        <v>158</v>
      </c>
      <c r="C156">
        <v>5.0000000000000001E-4</v>
      </c>
      <c r="D156" t="s">
        <v>5</v>
      </c>
    </row>
    <row r="157" spans="1:5" x14ac:dyDescent="0.2">
      <c r="B157" t="s">
        <v>149</v>
      </c>
      <c r="C157">
        <f>(2/3)*PI()*C156^3</f>
        <v>2.6179938779914943E-10</v>
      </c>
      <c r="D157" t="s">
        <v>26</v>
      </c>
      <c r="E157" t="s">
        <v>159</v>
      </c>
    </row>
    <row r="158" spans="1:5" x14ac:dyDescent="0.2">
      <c r="B158" t="s">
        <v>150</v>
      </c>
      <c r="C158">
        <v>12.5</v>
      </c>
      <c r="E158" t="s">
        <v>165</v>
      </c>
    </row>
    <row r="159" spans="1:5" x14ac:dyDescent="0.2">
      <c r="B159" t="s">
        <v>8</v>
      </c>
      <c r="C159">
        <f>B51</f>
        <v>0.11734880130167136</v>
      </c>
      <c r="D159" t="s">
        <v>9</v>
      </c>
    </row>
    <row r="160" spans="1:5" x14ac:dyDescent="0.2">
      <c r="B160" t="s">
        <v>151</v>
      </c>
      <c r="C160">
        <f>C158*10^4</f>
        <v>125000</v>
      </c>
    </row>
    <row r="161" spans="1:5" x14ac:dyDescent="0.2">
      <c r="B161" t="s">
        <v>152</v>
      </c>
      <c r="C161">
        <f>C159*C160</f>
        <v>14668.600162708919</v>
      </c>
    </row>
    <row r="162" spans="1:5" x14ac:dyDescent="0.2">
      <c r="B162" t="s">
        <v>153</v>
      </c>
      <c r="C162">
        <f>C157*C161</f>
        <v>3.8402305424676987E-6</v>
      </c>
      <c r="D162" t="s">
        <v>26</v>
      </c>
    </row>
    <row r="163" spans="1:5" x14ac:dyDescent="0.2">
      <c r="B163" t="s">
        <v>153</v>
      </c>
      <c r="C163">
        <f>C162*10^6</f>
        <v>3.8402305424676988</v>
      </c>
      <c r="D163" t="s">
        <v>154</v>
      </c>
    </row>
    <row r="165" spans="1:5" x14ac:dyDescent="0.2">
      <c r="C165">
        <f>PI()*C156^2</f>
        <v>7.8539816339744823E-7</v>
      </c>
      <c r="D165" t="s">
        <v>9</v>
      </c>
      <c r="E165" t="s">
        <v>160</v>
      </c>
    </row>
    <row r="166" spans="1:5" x14ac:dyDescent="0.2">
      <c r="C166">
        <f>10^-4</f>
        <v>1E-4</v>
      </c>
      <c r="D166" t="s">
        <v>9</v>
      </c>
      <c r="E166" t="s">
        <v>161</v>
      </c>
    </row>
    <row r="167" spans="1:5" x14ac:dyDescent="0.2">
      <c r="C167">
        <f>C165*C158</f>
        <v>9.8174770424681034E-6</v>
      </c>
      <c r="D167" t="s">
        <v>9</v>
      </c>
      <c r="E167" t="s">
        <v>162</v>
      </c>
    </row>
    <row r="168" spans="1:5" x14ac:dyDescent="0.2">
      <c r="C168">
        <f>C167/C166</f>
        <v>9.8174770424681035E-2</v>
      </c>
      <c r="E168" t="s">
        <v>163</v>
      </c>
    </row>
    <row r="170" spans="1:5" x14ac:dyDescent="0.2">
      <c r="A170" t="s">
        <v>168</v>
      </c>
    </row>
  </sheetData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Giraud</dc:creator>
  <cp:lastModifiedBy>john giraud</cp:lastModifiedBy>
  <cp:revision>1</cp:revision>
  <dcterms:created xsi:type="dcterms:W3CDTF">2019-01-10T15:29:22Z</dcterms:created>
  <dcterms:modified xsi:type="dcterms:W3CDTF">2019-01-11T23:06:29Z</dcterms:modified>
</cp:coreProperties>
</file>